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lient\S\SAAA\2024 Audit\Docs for Moore website\"/>
    </mc:Choice>
  </mc:AlternateContent>
  <xr:revisionPtr revIDLastSave="297" documentId="13_ncr:1_{B47BCCEC-A6F7-451D-B294-6D018F7E2673}" xr6:coauthVersionLast="47" xr6:coauthVersionMax="47" xr10:uidLastSave="{8D464AF7-5165-427B-BC51-5B33596D38CC}"/>
  <bookViews>
    <workbookView xWindow="-23148" yWindow="-108" windowWidth="23256" windowHeight="12576" firstSheet="2" activeTab="1" xr2:uid="{00000000-000D-0000-FFFF-FFFF00000000}"/>
  </bookViews>
  <sheets>
    <sheet name="Variances" sheetId="1" r:id="rId1"/>
    <sheet name="All Other Payments" sheetId="3" r:id="rId2"/>
    <sheet name="Reciepts" sheetId="2" r:id="rId3"/>
    <sheet name="Prof Fees" sheetId="4" r:id="rId4"/>
  </sheets>
  <definedNames>
    <definedName name="_xlnm.Print_Area" localSheetId="0">Variances!$A$1:$O$32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B7" i="3"/>
  <c r="B3" i="2"/>
  <c r="F17" i="3"/>
  <c r="E17" i="3"/>
  <c r="F16" i="3"/>
  <c r="E16" i="3"/>
  <c r="C21" i="3"/>
  <c r="C3" i="3"/>
  <c r="C16" i="3"/>
  <c r="F15" i="3"/>
  <c r="E15" i="3"/>
  <c r="F14" i="3"/>
  <c r="E14" i="3"/>
  <c r="F13" i="3"/>
  <c r="E13" i="3"/>
  <c r="E12" i="3"/>
  <c r="B6" i="3"/>
  <c r="B10" i="3"/>
  <c r="D4" i="3"/>
  <c r="C10" i="3"/>
  <c r="F9" i="3"/>
  <c r="E9" i="3"/>
  <c r="F8" i="3"/>
  <c r="E8" i="3"/>
  <c r="F4" i="3"/>
  <c r="E4" i="3"/>
  <c r="C7" i="3"/>
  <c r="F7" i="3"/>
  <c r="E7" i="3"/>
  <c r="C6" i="3"/>
  <c r="F5" i="3"/>
  <c r="E5" i="3"/>
  <c r="F3" i="3"/>
  <c r="E3" i="3"/>
  <c r="E3" i="2"/>
  <c r="F3" i="2"/>
  <c r="E4" i="2"/>
  <c r="F4" i="2"/>
  <c r="E5" i="2"/>
  <c r="F5" i="2"/>
  <c r="F2" i="2"/>
  <c r="E2" i="2"/>
  <c r="C7" i="2"/>
  <c r="B7" i="2"/>
  <c r="H28" i="1"/>
  <c r="L28" i="1" s="1"/>
  <c r="N28" i="1" s="1"/>
  <c r="H26" i="1"/>
  <c r="H24" i="1"/>
  <c r="H20" i="1"/>
  <c r="K20" i="1" s="1"/>
  <c r="H18" i="1"/>
  <c r="H16" i="1"/>
  <c r="L16" i="1" s="1"/>
  <c r="H14" i="1"/>
  <c r="L14" i="1" s="1"/>
  <c r="H12" i="1"/>
  <c r="L12" i="1" s="1"/>
  <c r="M28" i="1"/>
  <c r="G28" i="1"/>
  <c r="G26" i="1"/>
  <c r="M26" i="1" s="1"/>
  <c r="G24" i="1"/>
  <c r="M24" i="1" s="1"/>
  <c r="G20" i="1"/>
  <c r="M20" i="1"/>
  <c r="G18" i="1"/>
  <c r="M18" i="1"/>
  <c r="G16" i="1"/>
  <c r="M16" i="1"/>
  <c r="G14" i="1"/>
  <c r="M14" i="1"/>
  <c r="G12" i="1"/>
  <c r="M12" i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K24" i="1"/>
  <c r="L24" i="1"/>
  <c r="N24" i="1" s="1"/>
  <c r="K28" i="1"/>
  <c r="L26" i="1"/>
  <c r="N26" i="1" s="1"/>
  <c r="F22" i="1"/>
  <c r="N10" i="1" s="1"/>
  <c r="D22" i="1"/>
  <c r="H22" i="1" s="1"/>
  <c r="L22" i="1" s="1"/>
  <c r="K18" i="1"/>
  <c r="K26" i="1"/>
  <c r="K14" i="1"/>
  <c r="L18" i="1"/>
  <c r="N18" i="1"/>
  <c r="K16" i="1"/>
  <c r="K22" i="1"/>
  <c r="I22" i="1"/>
  <c r="G22" i="1"/>
  <c r="M22" i="1"/>
  <c r="J22" i="1"/>
  <c r="K12" i="1"/>
  <c r="E7" i="2" l="1"/>
  <c r="F7" i="2"/>
  <c r="B21" i="3"/>
  <c r="F10" i="3"/>
  <c r="E10" i="3"/>
  <c r="F6" i="3"/>
  <c r="E6" i="3"/>
  <c r="N16" i="1"/>
  <c r="N14" i="1"/>
  <c r="N12" i="1"/>
  <c r="N22" i="1"/>
  <c r="L20" i="1"/>
  <c r="N20" i="1" s="1"/>
  <c r="F21" i="3" l="1"/>
  <c r="E21" i="3"/>
</calcChain>
</file>

<file path=xl/sharedStrings.xml><?xml version="1.0" encoding="utf-8"?>
<sst xmlns="http://schemas.openxmlformats.org/spreadsheetml/2006/main" count="95" uniqueCount="75">
  <si>
    <t xml:space="preserve">Explanation of variances 2023/24 – pro forma </t>
  </si>
  <si>
    <t>Name of smaller authority: Kirdford Parish Council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</si>
  <si>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</si>
  <si>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</si>
  <si>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>Please ensure variance explanations are quantified to reduce the variance excluding stated items below the 15% / £500 / £100,000 threshold</t>
  </si>
  <si>
    <t>Variance</t>
  </si>
  <si>
    <t>Explanation Required?</t>
  </si>
  <si>
    <t>DO NOT OVERWRITE THE BOXES HIGHLIGHTED IN RED/GREEN</t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</si>
  <si>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</si>
  <si>
    <t>£</t>
  </si>
  <si>
    <t>%</t>
  </si>
  <si>
    <t>Is &gt; 15%</t>
  </si>
  <si>
    <t>Is &gt; £100,000</t>
  </si>
  <si>
    <t>1 Balances Brought Forward</t>
  </si>
  <si>
    <t>2 Precept or Rates and Levies</t>
  </si>
  <si>
    <t>3 Total Other Receipts</t>
  </si>
  <si>
    <t>Please see the breakdown and explanantion notes on the Reciepts tab</t>
  </si>
  <si>
    <t>4 Staff Costs</t>
  </si>
  <si>
    <t>5 Loan Interest/Capital Repayment</t>
  </si>
  <si>
    <t>6 All Other Payments</t>
  </si>
  <si>
    <t>Please see the breakdown and explanantion notes on the All Other Payments tab</t>
  </si>
  <si>
    <t>7 Balances Carried Forward</t>
  </si>
  <si>
    <t>8 Total Cash and Short Term Investments</t>
  </si>
  <si>
    <t>9 Total Fixed Assets plus Other Long Term Investments and Assets</t>
  </si>
  <si>
    <t>10 Total Borrowings</t>
  </si>
  <si>
    <t>Description</t>
  </si>
  <si>
    <t>Difference</t>
  </si>
  <si>
    <t>Comments</t>
  </si>
  <si>
    <t>Maintenance</t>
  </si>
  <si>
    <t>Large cost for repairs to play equipment (2252)</t>
  </si>
  <si>
    <t>Office Costs</t>
  </si>
  <si>
    <t>Office 365 subscription (1633.92) moved to General Administration - Purchased new laptop and printer for Clerk (1073.16)</t>
  </si>
  <si>
    <t>General Administration</t>
  </si>
  <si>
    <t>Accounting package added (1366.80)</t>
  </si>
  <si>
    <t>Training and Subscriptions</t>
  </si>
  <si>
    <t>Two councilors attended Playground Inspection training (463.20) - 2 new councilors joined the PC</t>
  </si>
  <si>
    <t>Professional Fees</t>
  </si>
  <si>
    <t>See Prof fees tab for breakdown of 2024 - we use outside consultants for planning advice especially issues with water neutrality</t>
  </si>
  <si>
    <t>Grants</t>
  </si>
  <si>
    <t>Insurance</t>
  </si>
  <si>
    <t>Negotiated and changed provider</t>
  </si>
  <si>
    <t>Village Events</t>
  </si>
  <si>
    <t>Slightly larger event in 2024 for Coronation than 2023 for Queens Jubilee</t>
  </si>
  <si>
    <t>Allocated Funds</t>
  </si>
  <si>
    <t>Planning Support Services</t>
  </si>
  <si>
    <t>we use outside consultants for planning advice especially issues with water neutrality (see Prof Fees tab)</t>
  </si>
  <si>
    <t>Great Common Pavilion rebuild (CIL)</t>
  </si>
  <si>
    <t>ongoing project, expected to complete in 2025</t>
  </si>
  <si>
    <t>Rec Pavilion Refurb (CIL)</t>
  </si>
  <si>
    <t>this will be completed this financial year</t>
  </si>
  <si>
    <t>Village Hall Extension (CIL)</t>
  </si>
  <si>
    <t>hopefully this will be completed this financial year</t>
  </si>
  <si>
    <t>Tennis Court refurb (CIL)</t>
  </si>
  <si>
    <t>project completed in 2023</t>
  </si>
  <si>
    <t>Environmental projects (CIL)</t>
  </si>
  <si>
    <t>Project to inprove bird and bat populations</t>
  </si>
  <si>
    <t>VAT</t>
  </si>
  <si>
    <t>Total</t>
  </si>
  <si>
    <t>In a nutshell we have had to spend an extra £25k (apporx) this year in dealing with planning issues with Chichester District Council</t>
  </si>
  <si>
    <t>VAT Credits</t>
  </si>
  <si>
    <t>Refunds</t>
  </si>
  <si>
    <t>Bank Interest</t>
  </si>
  <si>
    <t>Due to influx of CIL funds, and change of interest rates</t>
  </si>
  <si>
    <t>CIL Payment</t>
  </si>
  <si>
    <t>New development of 57 houses, first CIL payments in 22-23 then final CIL payment in 23-24</t>
  </si>
  <si>
    <t>Ecology Advice</t>
  </si>
  <si>
    <t>Water Neutrality Consultant</t>
  </si>
  <si>
    <t>Planning legal advice</t>
  </si>
  <si>
    <t>Audit Fee (Internal)</t>
  </si>
  <si>
    <t>Audit Fee (External)</t>
  </si>
  <si>
    <t>Payroll Services</t>
  </si>
  <si>
    <t>Housing Needs Survey</t>
  </si>
  <si>
    <t>Final Audit 23-23</t>
  </si>
  <si>
    <t>Shared planning meeting costs</t>
  </si>
  <si>
    <t>Review of Reg19 Local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</si>
</sst>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;[Red]\-&quot;£&quot;#,##0.00"/>
  </numFmts>
  <fonts count="20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00"/>
      <name val="Source Sans Pro"/>
      <family val="2"/>
      <charset val="1"/>
    </font>
    <font>
      <b/>
      <sz val="11"/>
      <color theme="1"/>
      <name val="Calibri"/>
      <family val="2"/>
      <scheme val="minor"/>
    </font>
    <font>
      <sz val="11"/>
      <color rgb="FF242424"/>
      <name val="Aptos Narrow"/>
      <charset val="1"/>
    </font>
    <font>
      <b/>
      <sz val="11"/>
      <color theme="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FCFC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4" fontId="15" fillId="0" borderId="0" xfId="0" applyNumberFormat="1" applyFont="1"/>
    <xf numFmtId="4" fontId="0" fillId="0" borderId="0" xfId="0" applyNumberFormat="1"/>
    <xf numFmtId="0" fontId="16" fillId="0" borderId="0" xfId="0" applyFont="1"/>
    <xf numFmtId="4" fontId="16" fillId="0" borderId="0" xfId="0" applyNumberFormat="1" applyFont="1"/>
    <xf numFmtId="0" fontId="17" fillId="0" borderId="0" xfId="0" applyFont="1"/>
    <xf numFmtId="0" fontId="18" fillId="4" borderId="5" xfId="0" applyFont="1" applyFill="1" applyBorder="1"/>
    <xf numFmtId="164" fontId="0" fillId="5" borderId="5" xfId="0" applyNumberFormat="1" applyFill="1" applyBorder="1"/>
    <xf numFmtId="0" fontId="19" fillId="5" borderId="5" xfId="0" applyFont="1" applyFill="1" applyBorder="1"/>
    <xf numFmtId="164" fontId="0" fillId="0" borderId="5" xfId="0" applyNumberFormat="1" applyBorder="1"/>
    <xf numFmtId="0" fontId="19" fillId="0" borderId="5" xfId="0" applyFont="1" applyBorder="1"/>
    <xf numFmtId="0" fontId="0" fillId="6" borderId="0" xfId="0" applyFill="1"/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opLeftCell="C7" workbookViewId="0">
      <selection activeCell="D27" sqref="D27"/>
    </sheetView>
  </sheetViews>
  <sheetFormatPr defaultColWidth="9.140625" defaultRowHeight="13.9"/>
  <cols>
    <col min="1" max="1" width="20.140625" style="2" customWidth="1"/>
    <col min="2" max="2" width="11" style="2" customWidth="1"/>
    <col min="3" max="3" width="32.5703125" style="2" customWidth="1"/>
    <col min="4" max="4" width="9.140625" style="2"/>
    <col min="5" max="5" width="3.28515625" style="2" customWidth="1"/>
    <col min="6" max="6" width="9.140625" style="2"/>
    <col min="7" max="7" width="10.140625" style="2" customWidth="1"/>
    <col min="8" max="8" width="12.42578125" style="2" customWidth="1"/>
    <col min="9" max="11" width="9.140625" style="2" hidden="1" customWidth="1"/>
    <col min="12" max="12" width="13.28515625" style="2" customWidth="1"/>
    <col min="13" max="13" width="13.85546875" style="2" bestFit="1" customWidth="1"/>
    <col min="14" max="14" width="50.42578125" style="11" bestFit="1" customWidth="1"/>
    <col min="15" max="15" width="86" style="2" bestFit="1" customWidth="1"/>
    <col min="16" max="16384" width="9.140625" style="2"/>
  </cols>
  <sheetData>
    <row r="1" spans="1:15" ht="17.45">
      <c r="A1" s="44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8"/>
      <c r="M1" s="8"/>
    </row>
    <row r="2" spans="1:15" ht="15.6">
      <c r="A2" s="23" t="s">
        <v>1</v>
      </c>
      <c r="B2" s="14"/>
      <c r="C2" s="13"/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>
      <c r="A3" s="1" t="s">
        <v>2</v>
      </c>
    </row>
    <row r="4" spans="1:15" ht="79.5" customHeight="1">
      <c r="A4" s="42" t="s">
        <v>3</v>
      </c>
      <c r="B4" s="43"/>
      <c r="C4" s="43"/>
      <c r="D4" s="43"/>
      <c r="E4" s="43"/>
      <c r="F4" s="43"/>
      <c r="G4" s="43"/>
      <c r="H4" s="43"/>
    </row>
    <row r="5" spans="1:15">
      <c r="A5" s="1" t="s">
        <v>4</v>
      </c>
    </row>
    <row r="6" spans="1:15">
      <c r="A6" s="17"/>
      <c r="D6" s="3"/>
      <c r="F6" s="3"/>
      <c r="O6" s="16"/>
    </row>
    <row r="7" spans="1:15" ht="27.6">
      <c r="D7" s="18">
        <v>2024</v>
      </c>
      <c r="E7" s="16"/>
      <c r="F7" s="18">
        <v>2023</v>
      </c>
      <c r="G7" s="18" t="s">
        <v>5</v>
      </c>
      <c r="H7" s="18" t="s">
        <v>5</v>
      </c>
      <c r="I7" s="18"/>
      <c r="J7" s="18"/>
      <c r="K7" s="18"/>
      <c r="L7" s="35" t="s">
        <v>6</v>
      </c>
      <c r="M7" s="36"/>
      <c r="N7" s="20" t="s">
        <v>7</v>
      </c>
      <c r="O7" s="19" t="s">
        <v>8</v>
      </c>
    </row>
    <row r="8" spans="1:15">
      <c r="D8" s="18" t="s">
        <v>9</v>
      </c>
      <c r="E8" s="16"/>
      <c r="F8" s="18" t="s">
        <v>9</v>
      </c>
      <c r="G8" s="18" t="s">
        <v>9</v>
      </c>
      <c r="H8" s="18" t="s">
        <v>10</v>
      </c>
      <c r="I8" s="18"/>
      <c r="J8" s="18"/>
      <c r="K8" s="16"/>
      <c r="L8" s="18" t="s">
        <v>11</v>
      </c>
      <c r="M8" s="18" t="s">
        <v>12</v>
      </c>
      <c r="O8" s="11"/>
    </row>
    <row r="9" spans="1:15" ht="14.45" thickBot="1">
      <c r="D9" s="3"/>
      <c r="E9" s="3"/>
      <c r="O9" s="11"/>
    </row>
    <row r="10" spans="1:15" ht="30" customHeight="1" thickBot="1">
      <c r="A10" s="38" t="s">
        <v>13</v>
      </c>
      <c r="B10" s="38"/>
      <c r="C10" s="38"/>
      <c r="D10" s="7">
        <v>362802</v>
      </c>
      <c r="F10" s="7">
        <v>177462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does not agree</v>
      </c>
      <c r="O10" s="12"/>
    </row>
    <row r="11" spans="1:15" ht="14.45" thickBot="1">
      <c r="D11" s="4"/>
      <c r="F11" s="4"/>
      <c r="O11" s="11"/>
    </row>
    <row r="12" spans="1:15" ht="14.45" thickBot="1">
      <c r="A12" s="39" t="s">
        <v>14</v>
      </c>
      <c r="B12" s="40"/>
      <c r="C12" s="41"/>
      <c r="D12" s="7">
        <v>80000</v>
      </c>
      <c r="F12" s="7">
        <v>74345</v>
      </c>
      <c r="G12" s="4">
        <f>D12-F12</f>
        <v>5655</v>
      </c>
      <c r="H12" s="5">
        <f>IF((D12&gt;F12),(D12-F12)/F12,IF(D12&lt;F12,-(D12-F12)/F12,IF(D12=F12,0)))</f>
        <v>7.6064294841616781E-2</v>
      </c>
      <c r="I12" s="2">
        <f>IF(D12-F12&lt;500,0,IF(D12-F12&gt;500,1,IF(D12-F12=500,1)))</f>
        <v>1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4.45" thickBot="1">
      <c r="D13" s="4"/>
      <c r="F13" s="4"/>
      <c r="G13" s="4"/>
      <c r="H13" s="5"/>
      <c r="K13" s="3"/>
      <c r="L13" s="3"/>
      <c r="M13" s="3"/>
      <c r="O13" s="11"/>
    </row>
    <row r="14" spans="1:15" ht="14.25">
      <c r="A14" s="37" t="s">
        <v>15</v>
      </c>
      <c r="B14" s="37"/>
      <c r="C14" s="37"/>
      <c r="D14" s="7">
        <v>81067</v>
      </c>
      <c r="F14" s="7">
        <v>206594</v>
      </c>
      <c r="G14" s="4">
        <f>D14-F14</f>
        <v>-125527</v>
      </c>
      <c r="H14" s="5">
        <f>IF((D14&gt;F14),(D14-F14)/F14,IF(D14&lt;F14,-(D14-F14)/F14,IF(D14=F14,0)))</f>
        <v>0.60760235050388689</v>
      </c>
      <c r="I14" s="2">
        <f>IF(D14-F14&lt;500,0,IF(D14-F14&gt;500,1,IF(D14-F14=500,1)))</f>
        <v>0</v>
      </c>
      <c r="J14" s="2">
        <f>IF(F14-D14&lt;500,0,IF(F14-D14&gt;500,1,IF(F14-D14=500,1)))</f>
        <v>1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YES</v>
      </c>
      <c r="N14" s="9" t="str">
        <f>IF((L14="YES")*AND(I14+J14&lt;1),"Explanation not required, difference less than £500"," ")</f>
        <v xml:space="preserve"> </v>
      </c>
      <c r="O14" s="12" t="s">
        <v>16</v>
      </c>
    </row>
    <row r="15" spans="1:15" ht="14.45" thickBot="1">
      <c r="D15" s="4"/>
      <c r="F15" s="4"/>
      <c r="G15" s="4"/>
      <c r="H15" s="5"/>
      <c r="K15" s="3"/>
      <c r="L15" s="3"/>
      <c r="M15" s="3"/>
      <c r="O15" s="11"/>
    </row>
    <row r="16" spans="1:15" ht="14.45" thickBot="1">
      <c r="A16" s="37" t="s">
        <v>17</v>
      </c>
      <c r="B16" s="37"/>
      <c r="C16" s="37"/>
      <c r="D16" s="7">
        <v>29598</v>
      </c>
      <c r="F16" s="7">
        <v>27303</v>
      </c>
      <c r="G16" s="4">
        <f>D16-F16</f>
        <v>2295</v>
      </c>
      <c r="H16" s="5">
        <f>IF((D16&gt;F16),(D16-F16)/F16,IF(D16&lt;F16,-(D16-F16)/F16,IF(D16=F16,0)))</f>
        <v>8.4056697066256458E-2</v>
      </c>
      <c r="I16" s="2">
        <f>IF(D16-F16&lt;500,0,IF(D16-F16&gt;500,1,IF(D16-F16=500,1)))</f>
        <v>1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4.45" thickBot="1">
      <c r="D17" s="4"/>
      <c r="F17" s="4"/>
      <c r="G17" s="4"/>
      <c r="H17" s="5"/>
      <c r="K17" s="3"/>
      <c r="L17" s="3"/>
      <c r="M17" s="3"/>
      <c r="O17" s="11"/>
    </row>
    <row r="18" spans="1:23" ht="14.45" thickBot="1">
      <c r="A18" s="37" t="s">
        <v>18</v>
      </c>
      <c r="B18" s="37"/>
      <c r="C18" s="37"/>
      <c r="D18" s="7"/>
      <c r="F18" s="7"/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4.45" thickBot="1">
      <c r="D19" s="4"/>
      <c r="F19" s="4"/>
      <c r="G19" s="4"/>
      <c r="H19" s="5"/>
      <c r="K19" s="3"/>
      <c r="L19" s="3"/>
      <c r="M19" s="3"/>
      <c r="O19" s="11"/>
    </row>
    <row r="20" spans="1:23" ht="14.25">
      <c r="A20" s="37" t="s">
        <v>19</v>
      </c>
      <c r="B20" s="37"/>
      <c r="C20" s="37"/>
      <c r="D20" s="7">
        <v>82293</v>
      </c>
      <c r="F20" s="7">
        <v>68297</v>
      </c>
      <c r="G20" s="4">
        <f>D20-F20</f>
        <v>13996</v>
      </c>
      <c r="H20" s="5">
        <f>IF((D20&gt;F20),(D20-F20)/F20,IF(D20&lt;F20,-(D20-F20)/F20,IF(D20=F20,0)))</f>
        <v>0.20492847416431176</v>
      </c>
      <c r="I20" s="2">
        <f>IF(D20-F20&lt;500,0,IF(D20-F20&gt;500,1,IF(D20-F20=500,1)))</f>
        <v>1</v>
      </c>
      <c r="J20" s="2">
        <f>IF(F20-D20&lt;500,0,IF(F20-D20&gt;500,1,IF(F20-D20=500,1)))</f>
        <v>0</v>
      </c>
      <c r="K20" s="3">
        <f>IF(H20&lt;0.15,0,IF(H20&gt;0.15,1,IF(H20=0.15,1)))</f>
        <v>1</v>
      </c>
      <c r="L20" s="3" t="str">
        <f>IF(H20&lt;15%, "NO","YES")</f>
        <v>YES</v>
      </c>
      <c r="M20" s="3" t="str">
        <f>IF(ABS(G20)&lt;100000, "NO","YES")</f>
        <v>NO</v>
      </c>
      <c r="N20" s="9" t="str">
        <f>IF((L20="YES")*AND(I20+J20&lt;1),"Explanation not required, difference less than £500"," ")</f>
        <v xml:space="preserve"> </v>
      </c>
      <c r="O20" s="12" t="s">
        <v>20</v>
      </c>
    </row>
    <row r="21" spans="1:23" ht="14.45" thickBot="1">
      <c r="D21" s="4"/>
      <c r="F21" s="4"/>
      <c r="G21" s="4"/>
      <c r="H21" s="5"/>
      <c r="K21" s="3"/>
      <c r="L21" s="3"/>
      <c r="M21" s="3"/>
      <c r="O21" s="11"/>
    </row>
    <row r="22" spans="1:23" ht="14.45" thickBot="1">
      <c r="A22" s="6" t="s">
        <v>21</v>
      </c>
      <c r="D22" s="21">
        <f>D10+D12+D14-D16-D18-D20</f>
        <v>411978</v>
      </c>
      <c r="F22" s="21">
        <f>F10+F12+F14-F16-F18-F20</f>
        <v>362801</v>
      </c>
      <c r="G22" s="4">
        <f>D22-F22</f>
        <v>49177</v>
      </c>
      <c r="H22" s="5">
        <f>IF((D22&gt;F22),(D22-F22)/F22,IF(D22&lt;F22,-(D22-F22)/F22,IF(D22=F22,0)))</f>
        <v>0.13554813795992846</v>
      </c>
      <c r="I22" s="2">
        <f>IF(D22-F22&lt;500,0,IF(D22-F22&gt;500,1,IF(D22-F22=500,1)))</f>
        <v>1</v>
      </c>
      <c r="J22" s="2">
        <f>IF(F22-D22&lt;500,0,IF(F22-D22&gt;500,1,IF(F22-D22=500,1)))</f>
        <v>0</v>
      </c>
      <c r="K22" s="3">
        <f>IF(H22&lt;0.15,0,IF(H22&gt;0.15,1,IF(H22=0.15,1)))</f>
        <v>0</v>
      </c>
      <c r="L22" s="3" t="str">
        <f>IF(H22&lt;15%, "NO","YES")</f>
        <v>NO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/>
    </row>
    <row r="23" spans="1:23" ht="14.45" thickBot="1">
      <c r="D23" s="4"/>
      <c r="F23" s="4"/>
      <c r="G23" s="4"/>
      <c r="H23" s="5"/>
      <c r="K23" s="3"/>
      <c r="L23" s="3"/>
      <c r="M23" s="3"/>
      <c r="O23" s="11"/>
    </row>
    <row r="24" spans="1:23" ht="14.45" thickBot="1">
      <c r="A24" s="37" t="s">
        <v>22</v>
      </c>
      <c r="B24" s="37"/>
      <c r="C24" s="37"/>
      <c r="D24" s="7">
        <v>411978</v>
      </c>
      <c r="F24" s="7">
        <v>362801</v>
      </c>
      <c r="G24" s="4">
        <f>D24-F24</f>
        <v>49177</v>
      </c>
      <c r="H24" s="5">
        <f>IF((D24&gt;F24),(D24-F24)/F24,IF(D24&lt;F24,-(D24-F24)/F24,IF(D24=F24,0)))</f>
        <v>0.13554813795992846</v>
      </c>
      <c r="I24" s="2">
        <f>IF(D24-F24&lt;500,0,IF(D24-F24&gt;500,1,IF(D24-F24=500,1)))</f>
        <v>1</v>
      </c>
      <c r="J24" s="2">
        <f>IF(F24-D24&lt;500,0,IF(F24-D24&gt;500,1,IF(F24-D24=500,1)))</f>
        <v>0</v>
      </c>
      <c r="K24" s="3">
        <f>IF(H24&lt;0.15,0,IF(H24&gt;0.15,1,IF(H24=0.15,1)))</f>
        <v>0</v>
      </c>
      <c r="L24" s="3" t="str">
        <f>IF(H24&lt;15%, "NO","YES")</f>
        <v>NO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/>
    </row>
    <row r="25" spans="1:23" ht="14.45" thickBot="1">
      <c r="D25" s="4"/>
      <c r="F25" s="4"/>
      <c r="G25" s="4"/>
      <c r="H25" s="5"/>
      <c r="K25" s="3"/>
      <c r="L25" s="3"/>
      <c r="M25" s="3"/>
      <c r="O25" s="11"/>
    </row>
    <row r="26" spans="1:23" ht="14.25">
      <c r="A26" s="37" t="s">
        <v>23</v>
      </c>
      <c r="B26" s="37"/>
      <c r="C26" s="37"/>
      <c r="D26" s="7">
        <v>119387.37</v>
      </c>
      <c r="F26" s="7">
        <v>119139</v>
      </c>
      <c r="G26" s="4">
        <f>D26-F26</f>
        <v>248.36999999999534</v>
      </c>
      <c r="H26" s="5">
        <f>IF((D26&gt;F26),(D26-F26)/F26,IF(D26&lt;F26,-(D26-F26)/F26,IF(D26=F26,0)))</f>
        <v>2.0847077783093305E-3</v>
      </c>
      <c r="I26" s="2">
        <f>IF(D26-F26&lt;500,0,IF(D26-F26&gt;500,1,IF(D26-F26=500,1)))</f>
        <v>0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4.45" thickBot="1">
      <c r="D27" s="4"/>
      <c r="F27" s="4"/>
      <c r="G27" s="4"/>
      <c r="H27" s="5"/>
      <c r="K27" s="3"/>
      <c r="L27" s="3"/>
      <c r="M27" s="3"/>
      <c r="O27" s="11"/>
    </row>
    <row r="28" spans="1:23" ht="14.45" thickBot="1">
      <c r="A28" s="37" t="s">
        <v>24</v>
      </c>
      <c r="B28" s="37"/>
      <c r="C28" s="37"/>
      <c r="D28" s="7"/>
      <c r="F28" s="7"/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>
      <c r="H29" s="5"/>
      <c r="K29" s="3"/>
      <c r="L29" s="3"/>
      <c r="M29" s="3"/>
      <c r="O29" s="11"/>
    </row>
    <row r="30" spans="1:23">
      <c r="C30" s="10"/>
    </row>
    <row r="31" spans="1:23" ht="15" customHeight="1">
      <c r="P31" s="15"/>
      <c r="Q31" s="15"/>
      <c r="R31" s="15"/>
      <c r="S31" s="15"/>
      <c r="T31" s="15"/>
      <c r="U31" s="15"/>
      <c r="V31" s="15"/>
      <c r="W31" s="15"/>
    </row>
    <row r="32" spans="1:23" ht="17.45">
      <c r="C32" s="22"/>
      <c r="O32" s="15"/>
      <c r="P32" s="15"/>
      <c r="Q32" s="15"/>
      <c r="R32" s="15"/>
      <c r="S32" s="15"/>
      <c r="T32" s="15"/>
      <c r="U32" s="15"/>
      <c r="V32" s="15"/>
      <c r="W32" s="15"/>
    </row>
    <row r="34" spans="3:3" ht="17.45">
      <c r="C34" s="22"/>
    </row>
  </sheetData>
  <mergeCells count="12">
    <mergeCell ref="A4:H4"/>
    <mergeCell ref="A18:C18"/>
    <mergeCell ref="A20:C20"/>
    <mergeCell ref="A1:K1"/>
    <mergeCell ref="A24:C24"/>
    <mergeCell ref="L7:M7"/>
    <mergeCell ref="A26:C26"/>
    <mergeCell ref="A28:C28"/>
    <mergeCell ref="A10:C10"/>
    <mergeCell ref="A12:C12"/>
    <mergeCell ref="A14:C14"/>
    <mergeCell ref="A16:C16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D997-3D49-45DC-A36F-454AB5671A7E}">
  <dimension ref="A1:H21"/>
  <sheetViews>
    <sheetView tabSelected="1" workbookViewId="0">
      <selection activeCell="F13" sqref="F12:F13"/>
    </sheetView>
  </sheetViews>
  <sheetFormatPr defaultRowHeight="15"/>
  <cols>
    <col min="1" max="1" width="33.5703125" bestFit="1" customWidth="1"/>
    <col min="2" max="2" width="9.28515625" bestFit="1" customWidth="1"/>
    <col min="5" max="5" width="10.42578125" bestFit="1" customWidth="1"/>
    <col min="6" max="6" width="10.5703125" customWidth="1"/>
  </cols>
  <sheetData>
    <row r="1" spans="1:8">
      <c r="A1" s="26" t="s">
        <v>25</v>
      </c>
      <c r="B1" s="26">
        <v>2024</v>
      </c>
      <c r="C1" s="26">
        <v>2023</v>
      </c>
      <c r="D1" s="26"/>
      <c r="E1" s="26" t="s">
        <v>26</v>
      </c>
      <c r="F1" s="26" t="s">
        <v>5</v>
      </c>
      <c r="G1" s="26"/>
      <c r="H1" s="26" t="s">
        <v>27</v>
      </c>
    </row>
    <row r="3" spans="1:8">
      <c r="A3" t="s">
        <v>28</v>
      </c>
      <c r="B3">
        <v>13208.44</v>
      </c>
      <c r="C3" s="34">
        <f>13144.7+2252</f>
        <v>15396.7</v>
      </c>
      <c r="E3" s="25">
        <f>B3-C3</f>
        <v>-2188.2600000000002</v>
      </c>
      <c r="F3" s="5">
        <f>IF((B3&gt;C3),(B3-C3)/C3,IF(B3&lt;C3,-(B3-C3)/C3,IF(B3=C3,0)))</f>
        <v>0.1421252606077926</v>
      </c>
      <c r="H3" t="s">
        <v>29</v>
      </c>
    </row>
    <row r="4" spans="1:8">
      <c r="A4" t="s">
        <v>30</v>
      </c>
      <c r="B4">
        <v>779.04</v>
      </c>
      <c r="C4" s="34">
        <v>3225.52</v>
      </c>
      <c r="D4">
        <f>3225.52-1633.92</f>
        <v>1591.6</v>
      </c>
      <c r="E4" s="25">
        <f>B4-C4</f>
        <v>-2446.48</v>
      </c>
      <c r="F4" s="5">
        <f>IF((B4&gt;C4),(B4-C4)/C4,IF(B4&lt;C4,-(B4-C4)/C4,IF(B4=C4,0)))</f>
        <v>0.75847615268235824</v>
      </c>
      <c r="H4" s="28" t="s">
        <v>31</v>
      </c>
    </row>
    <row r="5" spans="1:8">
      <c r="A5" t="s">
        <v>32</v>
      </c>
      <c r="B5" s="34">
        <v>3996.03</v>
      </c>
      <c r="C5">
        <v>571.30999999999995</v>
      </c>
      <c r="E5" s="25">
        <f>B5-C5</f>
        <v>3424.7200000000003</v>
      </c>
      <c r="F5" s="5">
        <f>IF((B5&gt;C5),(B5-C5)/C5,IF(B5&lt;C5,-(B5-C5)/C5,IF(B5=C5,0)))</f>
        <v>5.994503859550858</v>
      </c>
      <c r="H5" t="s">
        <v>33</v>
      </c>
    </row>
    <row r="6" spans="1:8">
      <c r="A6" t="s">
        <v>34</v>
      </c>
      <c r="B6" s="34">
        <f>666.98+341.67</f>
        <v>1008.6500000000001</v>
      </c>
      <c r="C6">
        <f>348.63+49.2</f>
        <v>397.83</v>
      </c>
      <c r="E6" s="25">
        <f>B6-C6</f>
        <v>610.82000000000016</v>
      </c>
      <c r="F6" s="5">
        <f>IF((B6&gt;C6),(B6-C6)/C6,IF(B6&lt;C6,-(B6-C6)/C6,IF(B6=C6,0)))</f>
        <v>1.5353794334263384</v>
      </c>
      <c r="H6" t="s">
        <v>35</v>
      </c>
    </row>
    <row r="7" spans="1:8">
      <c r="A7" t="s">
        <v>36</v>
      </c>
      <c r="B7" s="34">
        <f>19053.96+1005-756</f>
        <v>19302.96</v>
      </c>
      <c r="C7">
        <f>7685.64+355</f>
        <v>8040.64</v>
      </c>
      <c r="E7" s="25">
        <f>B7-C7</f>
        <v>11262.32</v>
      </c>
      <c r="F7" s="5">
        <f>IF((B7&gt;C7),(B7-C7)/C7,IF(B7&lt;C7,-(B7-C7)/C7,IF(B7=C7,0)))</f>
        <v>1.400674573168305</v>
      </c>
      <c r="H7" t="s">
        <v>37</v>
      </c>
    </row>
    <row r="8" spans="1:8">
      <c r="A8" t="s">
        <v>38</v>
      </c>
      <c r="B8">
        <v>3986</v>
      </c>
      <c r="C8">
        <v>5720</v>
      </c>
      <c r="E8" s="25">
        <f>B8-C8</f>
        <v>-1734</v>
      </c>
      <c r="F8" s="5">
        <f>IF((B8&gt;C8),(B8-C8)/C8,IF(B8&lt;C8,-(B8-C8)/C8,IF(B8=C8,0)))</f>
        <v>0.30314685314685313</v>
      </c>
    </row>
    <row r="9" spans="1:8">
      <c r="A9" t="s">
        <v>39</v>
      </c>
      <c r="B9">
        <v>1744.8</v>
      </c>
      <c r="C9" s="34">
        <v>4271.03</v>
      </c>
      <c r="E9" s="25">
        <f>B9-C9</f>
        <v>-2526.2299999999996</v>
      </c>
      <c r="F9" s="5">
        <f>IF((B9&gt;C9),(B9-C9)/C9,IF(B9&lt;C9,-(B9-C9)/C9,IF(B9=C9,0)))</f>
        <v>0.59148027524976399</v>
      </c>
      <c r="H9" t="s">
        <v>40</v>
      </c>
    </row>
    <row r="10" spans="1:8">
      <c r="A10" t="s">
        <v>41</v>
      </c>
      <c r="B10">
        <f>4812.67+600</f>
        <v>5412.67</v>
      </c>
      <c r="C10">
        <f>1073.82+3922.72</f>
        <v>4996.54</v>
      </c>
      <c r="E10" s="25">
        <f>B10-C10</f>
        <v>416.13000000000011</v>
      </c>
      <c r="F10" s="5">
        <f>IF((B10&gt;C10),(B10-C10)/C10,IF(B10&lt;C10,-(B10-C10)/C10,IF(B10=C10,0)))</f>
        <v>8.3283632273533303E-2</v>
      </c>
      <c r="H10" t="s">
        <v>42</v>
      </c>
    </row>
    <row r="11" spans="1:8">
      <c r="A11" s="26" t="s">
        <v>43</v>
      </c>
    </row>
    <row r="12" spans="1:8">
      <c r="A12" t="s">
        <v>44</v>
      </c>
      <c r="B12" s="34">
        <v>10011.33</v>
      </c>
      <c r="E12" s="25">
        <f t="shared" ref="E12:E15" si="0">B12-C12</f>
        <v>10011.33</v>
      </c>
      <c r="F12" s="5" t="e">
        <f t="shared" ref="F12:F15" si="1">IF((B12&gt;C12),(B12-C12)/C12,IF(B12&lt;C12,-(B12-C12)/C12,IF(B12=C12,0)))</f>
        <v>#DIV/0!</v>
      </c>
      <c r="H12" s="28" t="s">
        <v>45</v>
      </c>
    </row>
    <row r="13" spans="1:8">
      <c r="A13" t="s">
        <v>46</v>
      </c>
      <c r="B13">
        <v>745</v>
      </c>
      <c r="C13">
        <v>1512</v>
      </c>
      <c r="E13" s="25">
        <f t="shared" si="0"/>
        <v>-767</v>
      </c>
      <c r="F13" s="5">
        <f t="shared" si="1"/>
        <v>0.50727513227513232</v>
      </c>
      <c r="H13" t="s">
        <v>47</v>
      </c>
    </row>
    <row r="14" spans="1:8">
      <c r="A14" t="s">
        <v>48</v>
      </c>
      <c r="B14">
        <v>5000</v>
      </c>
      <c r="C14">
        <v>900</v>
      </c>
      <c r="E14" s="25">
        <f t="shared" si="0"/>
        <v>4100</v>
      </c>
      <c r="F14" s="5">
        <f t="shared" si="1"/>
        <v>4.5555555555555554</v>
      </c>
      <c r="H14" t="s">
        <v>49</v>
      </c>
    </row>
    <row r="15" spans="1:8">
      <c r="A15" t="s">
        <v>50</v>
      </c>
      <c r="B15">
        <v>7347.88</v>
      </c>
      <c r="C15">
        <v>1325</v>
      </c>
      <c r="E15" s="25">
        <f t="shared" si="0"/>
        <v>6022.88</v>
      </c>
      <c r="F15" s="5">
        <f t="shared" si="1"/>
        <v>4.545569811320755</v>
      </c>
      <c r="H15" t="s">
        <v>51</v>
      </c>
    </row>
    <row r="16" spans="1:8">
      <c r="A16" t="s">
        <v>52</v>
      </c>
      <c r="C16">
        <f>10844+2711</f>
        <v>13555</v>
      </c>
      <c r="E16" s="25">
        <f t="shared" ref="E16:E17" si="2">B16-C16</f>
        <v>-13555</v>
      </c>
      <c r="F16" s="5">
        <f t="shared" ref="F16:F17" si="3">IF((B16&gt;C16),(B16-C16)/C16,IF(B16&lt;C16,-(B16-C16)/C16,IF(B16=C16,0)))</f>
        <v>1</v>
      </c>
      <c r="H16" t="s">
        <v>53</v>
      </c>
    </row>
    <row r="17" spans="1:8">
      <c r="A17" t="s">
        <v>54</v>
      </c>
      <c r="C17">
        <v>529.91</v>
      </c>
      <c r="E17" s="25">
        <f t="shared" si="2"/>
        <v>-529.91</v>
      </c>
      <c r="F17" s="5">
        <f t="shared" si="3"/>
        <v>1</v>
      </c>
      <c r="H17" t="s">
        <v>55</v>
      </c>
    </row>
    <row r="19" spans="1:8">
      <c r="A19" t="s">
        <v>56</v>
      </c>
      <c r="B19">
        <v>9750.2800000000007</v>
      </c>
      <c r="C19">
        <v>7855.7899999999991</v>
      </c>
    </row>
    <row r="21" spans="1:8">
      <c r="A21" s="26" t="s">
        <v>57</v>
      </c>
      <c r="B21">
        <f>SUM(B3:B20)</f>
        <v>82293.08</v>
      </c>
      <c r="C21">
        <f>SUM(C3:C20)</f>
        <v>68297.27</v>
      </c>
      <c r="E21" s="25">
        <f t="shared" ref="E21" si="4">B21-C21</f>
        <v>13995.809999999998</v>
      </c>
      <c r="F21" s="5">
        <f t="shared" ref="F21" si="5">IF((B21&gt;C21),(B21-C21)/C21,IF(B21&lt;C21,-(B21-C21)/C21,IF(B21=C21,0)))</f>
        <v>0.20492488206336792</v>
      </c>
      <c r="H2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745E4-6F13-4082-BDE6-473BF174D70F}">
  <dimension ref="A1:H7"/>
  <sheetViews>
    <sheetView workbookViewId="0">
      <selection activeCell="B4" sqref="B4"/>
    </sheetView>
  </sheetViews>
  <sheetFormatPr defaultRowHeight="15"/>
  <cols>
    <col min="1" max="1" width="18.28515625" customWidth="1"/>
    <col min="3" max="3" width="10.7109375" bestFit="1" customWidth="1"/>
    <col min="5" max="5" width="11.5703125" bestFit="1" customWidth="1"/>
  </cols>
  <sheetData>
    <row r="1" spans="1:8">
      <c r="A1" s="26" t="s">
        <v>25</v>
      </c>
      <c r="B1" s="26">
        <v>2024</v>
      </c>
      <c r="C1" s="26">
        <v>2023</v>
      </c>
      <c r="D1" s="26"/>
      <c r="E1" s="26" t="s">
        <v>26</v>
      </c>
      <c r="F1" s="26" t="s">
        <v>5</v>
      </c>
      <c r="G1" s="26"/>
      <c r="H1" s="26" t="s">
        <v>27</v>
      </c>
    </row>
    <row r="2" spans="1:8">
      <c r="A2" t="s">
        <v>59</v>
      </c>
      <c r="B2" s="24">
        <v>6561.69</v>
      </c>
      <c r="C2" s="24">
        <v>9205.57</v>
      </c>
      <c r="E2" s="25">
        <f>B2-C2</f>
        <v>-2643.88</v>
      </c>
      <c r="F2" s="5">
        <f>IF((B2&gt;C2),(B2-C2)/C2,IF(B2&lt;C2,-(B2-C2)/C2,IF(B2=C2,0)))</f>
        <v>0.2872043773498002</v>
      </c>
    </row>
    <row r="3" spans="1:8">
      <c r="A3" t="s">
        <v>60</v>
      </c>
      <c r="B3">
        <f>856-756</f>
        <v>100</v>
      </c>
      <c r="C3" s="24">
        <v>660</v>
      </c>
      <c r="E3" s="25">
        <f t="shared" ref="E3:E5" si="0">B3-C3</f>
        <v>-560</v>
      </c>
      <c r="F3" s="5">
        <f t="shared" ref="F3:F5" si="1">IF((B3&gt;C3),(B3-C3)/C3,IF(B3&lt;C3,-(B3-C3)/C3,IF(B3=C3,0)))</f>
        <v>0.84848484848484851</v>
      </c>
    </row>
    <row r="4" spans="1:8">
      <c r="A4" t="s">
        <v>61</v>
      </c>
      <c r="B4">
        <v>2417.4299999999998</v>
      </c>
      <c r="C4" s="24">
        <v>333.42999999999995</v>
      </c>
      <c r="E4" s="25">
        <f t="shared" si="0"/>
        <v>2084</v>
      </c>
      <c r="F4" s="5">
        <f t="shared" si="1"/>
        <v>6.2501874456407656</v>
      </c>
      <c r="H4" t="s">
        <v>62</v>
      </c>
    </row>
    <row r="5" spans="1:8">
      <c r="A5" t="s">
        <v>63</v>
      </c>
      <c r="B5" s="24">
        <v>71988.05</v>
      </c>
      <c r="C5" s="24">
        <v>196393.25</v>
      </c>
      <c r="E5" s="25">
        <f t="shared" si="0"/>
        <v>-124405.2</v>
      </c>
      <c r="F5" s="5">
        <f t="shared" si="1"/>
        <v>0.63344946936821911</v>
      </c>
      <c r="H5" t="s">
        <v>64</v>
      </c>
    </row>
    <row r="6" spans="1:8">
      <c r="E6" s="25"/>
      <c r="F6" s="5"/>
    </row>
    <row r="7" spans="1:8">
      <c r="A7" s="26" t="s">
        <v>57</v>
      </c>
      <c r="B7" s="27">
        <f>+SUM(B2:B5)</f>
        <v>81067.17</v>
      </c>
      <c r="C7" s="27">
        <f>+SUM(C2:C5)</f>
        <v>206592.25</v>
      </c>
      <c r="E7" s="25">
        <f t="shared" ref="E6:E7" si="2">B7-C7</f>
        <v>-125525.08</v>
      </c>
      <c r="F7" s="5">
        <f t="shared" ref="F6:F7" si="3">IF((B7&gt;C7),(B7-C7)/C7,IF(B7&lt;C7,-(B7-C7)/C7,IF(B7=C7,0)))</f>
        <v>0.60759820370802875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9387-2C34-4A78-AAD7-2D24D29030C4}">
  <dimension ref="A1:B20"/>
  <sheetViews>
    <sheetView workbookViewId="0">
      <selection activeCell="E10" sqref="E10"/>
    </sheetView>
  </sheetViews>
  <sheetFormatPr defaultRowHeight="15"/>
  <cols>
    <col min="2" max="2" width="28.42578125" bestFit="1" customWidth="1"/>
  </cols>
  <sheetData>
    <row r="1" spans="1:2">
      <c r="A1" s="29" t="s">
        <v>57</v>
      </c>
      <c r="B1" s="29" t="s">
        <v>25</v>
      </c>
    </row>
    <row r="2" spans="1:2">
      <c r="A2" s="30">
        <v>1677.7</v>
      </c>
      <c r="B2" s="31" t="s">
        <v>65</v>
      </c>
    </row>
    <row r="3" spans="1:2">
      <c r="A3" s="32">
        <v>112.5</v>
      </c>
      <c r="B3" s="33" t="s">
        <v>66</v>
      </c>
    </row>
    <row r="4" spans="1:2">
      <c r="A4" s="30">
        <v>1800</v>
      </c>
      <c r="B4" s="31" t="s">
        <v>67</v>
      </c>
    </row>
    <row r="5" spans="1:2">
      <c r="A5" s="32">
        <v>195</v>
      </c>
      <c r="B5" s="33" t="s">
        <v>68</v>
      </c>
    </row>
    <row r="6" spans="1:2">
      <c r="A6" s="30">
        <v>756</v>
      </c>
      <c r="B6" s="31" t="s">
        <v>69</v>
      </c>
    </row>
    <row r="7" spans="1:2">
      <c r="A7" s="32">
        <v>750</v>
      </c>
      <c r="B7" s="33" t="s">
        <v>66</v>
      </c>
    </row>
    <row r="8" spans="1:2">
      <c r="A8" s="30">
        <v>126</v>
      </c>
      <c r="B8" s="31" t="s">
        <v>70</v>
      </c>
    </row>
    <row r="9" spans="1:2">
      <c r="A9" s="32">
        <v>150</v>
      </c>
      <c r="B9" s="33" t="s">
        <v>66</v>
      </c>
    </row>
    <row r="10" spans="1:2">
      <c r="A10" s="30">
        <v>756</v>
      </c>
      <c r="B10" s="31" t="s">
        <v>65</v>
      </c>
    </row>
    <row r="11" spans="1:2">
      <c r="A11" s="32">
        <v>126</v>
      </c>
      <c r="B11" s="33" t="s">
        <v>65</v>
      </c>
    </row>
    <row r="12" spans="1:2">
      <c r="A12" s="30">
        <v>2394</v>
      </c>
      <c r="B12" s="31" t="s">
        <v>66</v>
      </c>
    </row>
    <row r="13" spans="1:2">
      <c r="A13" s="32">
        <v>1912.06</v>
      </c>
      <c r="B13" s="33" t="s">
        <v>71</v>
      </c>
    </row>
    <row r="14" spans="1:2">
      <c r="A14" s="30">
        <v>126</v>
      </c>
      <c r="B14" s="31" t="s">
        <v>70</v>
      </c>
    </row>
    <row r="15" spans="1:2">
      <c r="A15" s="32">
        <v>180</v>
      </c>
      <c r="B15" s="33" t="s">
        <v>72</v>
      </c>
    </row>
    <row r="16" spans="1:2">
      <c r="A16" s="30">
        <v>680</v>
      </c>
      <c r="B16" s="31" t="s">
        <v>65</v>
      </c>
    </row>
    <row r="17" spans="1:2">
      <c r="A17" s="32">
        <v>3600</v>
      </c>
      <c r="B17" s="33" t="s">
        <v>67</v>
      </c>
    </row>
    <row r="18" spans="1:2">
      <c r="A18" s="30">
        <v>25</v>
      </c>
      <c r="B18" s="31" t="s">
        <v>73</v>
      </c>
    </row>
    <row r="19" spans="1:2">
      <c r="A19" s="32">
        <v>126</v>
      </c>
      <c r="B19" s="33" t="s">
        <v>70</v>
      </c>
    </row>
    <row r="20" spans="1:2">
      <c r="A20" s="30">
        <v>8160</v>
      </c>
      <c r="B20" s="31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292BE29C8CCD48B025E773C42F271C" ma:contentTypeVersion="17" ma:contentTypeDescription="Create a new document." ma:contentTypeScope="" ma:versionID="eb945681dce78b38c1ac2602944cbcd6">
  <xsd:schema xmlns:xsd="http://www.w3.org/2001/XMLSchema" xmlns:xs="http://www.w3.org/2001/XMLSchema" xmlns:p="http://schemas.microsoft.com/office/2006/metadata/properties" xmlns:ns2="c1b71be5-99a6-4784-9111-1f33bbec87a2" xmlns:ns3="f8357665-355b-4f20-9674-fbd7f473fab8" targetNamespace="http://schemas.microsoft.com/office/2006/metadata/properties" ma:root="true" ma:fieldsID="7721b5d746781e8682a4db464f555cc2" ns2:_="" ns3:_="">
    <xsd:import namespace="c1b71be5-99a6-4784-9111-1f33bbec87a2"/>
    <xsd:import namespace="f8357665-355b-4f20-9674-fbd7f473fa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71be5-99a6-4784-9111-1f33bbec87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b495549-e6b1-4c4f-82f4-e216ae0311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57665-355b-4f20-9674-fbd7f473fab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bb62c9e-793a-442f-a994-ed2a4161c2ae}" ma:internalName="TaxCatchAll" ma:showField="CatchAllData" ma:web="f8357665-355b-4f20-9674-fbd7f473fa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357665-355b-4f20-9674-fbd7f473fab8" xsi:nil="true"/>
    <lcf76f155ced4ddcb4097134ff3c332f xmlns="c1b71be5-99a6-4784-9111-1f33bbec87a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73DA51-AB09-40B1-9A79-4693CE9940B8}"/>
</file>

<file path=customXml/itemProps2.xml><?xml version="1.0" encoding="utf-8"?>
<ds:datastoreItem xmlns:ds="http://schemas.openxmlformats.org/officeDocument/2006/customXml" ds:itemID="{789424AC-66C4-4CC7-87CE-F4A24F10D8AD}"/>
</file>

<file path=customXml/itemProps3.xml><?xml version="1.0" encoding="utf-8"?>
<ds:datastoreItem xmlns:ds="http://schemas.openxmlformats.org/officeDocument/2006/customXml" ds:itemID="{2614C010-F1D1-4DDA-B954-F06F90D3E5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Littlejohn LLP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jsheridan</dc:creator>
  <cp:keywords/>
  <dc:description/>
  <cp:lastModifiedBy>Tony Brooks</cp:lastModifiedBy>
  <cp:revision/>
  <dcterms:created xsi:type="dcterms:W3CDTF">2012-07-11T10:01:28Z</dcterms:created>
  <dcterms:modified xsi:type="dcterms:W3CDTF">2024-06-14T18:25:43Z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0x01010000292BE29C8CCD48B025E773C42F271C</vt:lpwstr>
  </property>
  <property fmtid="{D5CDD505-2E9C-101B-9397-08002B2CF9AE}" pid="3" name="MediaServiceImageTags">
    <vt:lpwstr/>
  </property>
</Properties>
</file>